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7.33.102\юрист\! ОТЧЕТ ОБ ИСПОЛНЕНИИ БЮДЖЕТА\ОТЧЕТЫ за 2024 год\Отчет за 1 полугодие 2024\"/>
    </mc:Choice>
  </mc:AlternateContent>
  <bookViews>
    <workbookView xWindow="0" yWindow="0" windowWidth="28695" windowHeight="11625"/>
  </bookViews>
  <sheets>
    <sheet name="тыс. рублей" sheetId="6" r:id="rId1"/>
  </sheets>
  <definedNames>
    <definedName name="__bookmark_11">#REF!</definedName>
    <definedName name="__bookmark_15">#REF!</definedName>
    <definedName name="__bookmark_17">#REF!</definedName>
    <definedName name="__bookmark_2">#REF!</definedName>
    <definedName name="__bookmark_29">#REF!</definedName>
    <definedName name="__bookmark_5">#REF!</definedName>
    <definedName name="_xlnm._FilterDatabase" localSheetId="0" hidden="1">'тыс. рублей'!$A$5:$I$62</definedName>
  </definedNames>
  <calcPr calcId="152511"/>
</workbook>
</file>

<file path=xl/calcChain.xml><?xml version="1.0" encoding="utf-8"?>
<calcChain xmlns="http://schemas.openxmlformats.org/spreadsheetml/2006/main">
  <c r="G37" i="6" l="1"/>
  <c r="G38" i="6"/>
  <c r="G32" i="6"/>
  <c r="G33" i="6"/>
  <c r="G34" i="6"/>
  <c r="G35" i="6"/>
  <c r="G21" i="6"/>
  <c r="G22" i="6"/>
  <c r="G23" i="6"/>
  <c r="G24" i="6"/>
  <c r="G25" i="6"/>
  <c r="G26" i="6"/>
  <c r="G27" i="6"/>
  <c r="G28" i="6"/>
  <c r="G29" i="6"/>
  <c r="G30" i="6"/>
  <c r="G17" i="6"/>
  <c r="G18" i="6"/>
  <c r="G19" i="6"/>
  <c r="H12" i="6"/>
  <c r="H13" i="6"/>
  <c r="G8" i="6"/>
  <c r="G9" i="6"/>
  <c r="G10" i="6"/>
  <c r="G11" i="6"/>
  <c r="G12" i="6"/>
  <c r="G13" i="6"/>
  <c r="G14" i="6"/>
  <c r="G15" i="6"/>
  <c r="G7" i="6"/>
  <c r="H59" i="6"/>
  <c r="F15" i="6"/>
  <c r="F11" i="6"/>
  <c r="F35" i="6"/>
  <c r="F27" i="6"/>
  <c r="F53" i="6"/>
  <c r="F52" i="6"/>
  <c r="F42" i="6"/>
  <c r="F7" i="6"/>
  <c r="F20" i="6"/>
  <c r="D15" i="6" l="1"/>
  <c r="C15" i="6"/>
  <c r="D11" i="6"/>
  <c r="C11" i="6"/>
  <c r="D58" i="6"/>
  <c r="C58" i="6"/>
  <c r="D41" i="6"/>
  <c r="C41" i="6"/>
  <c r="D40" i="6"/>
  <c r="C40" i="6"/>
  <c r="D35" i="6"/>
  <c r="C35" i="6"/>
  <c r="D34" i="6"/>
  <c r="C34" i="6"/>
  <c r="D27" i="6"/>
  <c r="C27" i="6"/>
  <c r="C6" i="6"/>
  <c r="E13" i="6"/>
  <c r="E14" i="6"/>
  <c r="D53" i="6"/>
  <c r="C53" i="6"/>
  <c r="C52" i="6"/>
  <c r="D42" i="6"/>
  <c r="C42" i="6"/>
  <c r="C30" i="6"/>
  <c r="F16" i="6" l="1"/>
  <c r="H16" i="6" s="1"/>
  <c r="D16" i="6"/>
  <c r="C16" i="6"/>
  <c r="F6" i="6"/>
  <c r="F60" i="6"/>
  <c r="F55" i="6"/>
  <c r="F49" i="6"/>
  <c r="F45" i="6"/>
  <c r="F39" i="6"/>
  <c r="F36" i="6"/>
  <c r="F31" i="6"/>
  <c r="F62" i="6" l="1"/>
  <c r="D60" i="6"/>
  <c r="H60" i="6" s="1"/>
  <c r="C60" i="6"/>
  <c r="D55" i="6"/>
  <c r="G55" i="6" s="1"/>
  <c r="C55" i="6"/>
  <c r="D49" i="6"/>
  <c r="C49" i="6"/>
  <c r="D45" i="6"/>
  <c r="H45" i="6" s="1"/>
  <c r="C45" i="6"/>
  <c r="D39" i="6"/>
  <c r="C39" i="6"/>
  <c r="D36" i="6"/>
  <c r="G36" i="6" s="1"/>
  <c r="C36" i="6"/>
  <c r="D31" i="6"/>
  <c r="G31" i="6" s="1"/>
  <c r="C31" i="6"/>
  <c r="D20" i="6"/>
  <c r="C20" i="6"/>
  <c r="H61" i="6"/>
  <c r="G61" i="6"/>
  <c r="G57" i="6"/>
  <c r="H57" i="6"/>
  <c r="G58" i="6"/>
  <c r="H58" i="6"/>
  <c r="G59" i="6"/>
  <c r="H56" i="6"/>
  <c r="G56" i="6"/>
  <c r="H54" i="6"/>
  <c r="G51" i="6"/>
  <c r="H51" i="6"/>
  <c r="G52" i="6"/>
  <c r="H52" i="6"/>
  <c r="G53" i="6"/>
  <c r="H53" i="6"/>
  <c r="G54" i="6"/>
  <c r="H50" i="6"/>
  <c r="G50" i="6"/>
  <c r="G47" i="6"/>
  <c r="H47" i="6"/>
  <c r="G48" i="6"/>
  <c r="H48" i="6"/>
  <c r="H46" i="6"/>
  <c r="G46" i="6"/>
  <c r="G41" i="6"/>
  <c r="H41" i="6"/>
  <c r="G42" i="6"/>
  <c r="H42" i="6"/>
  <c r="G43" i="6"/>
  <c r="H43" i="6"/>
  <c r="G44" i="6"/>
  <c r="H44" i="6"/>
  <c r="H40" i="6"/>
  <c r="G40" i="6"/>
  <c r="H38" i="6"/>
  <c r="H37" i="6"/>
  <c r="H33" i="6"/>
  <c r="H34" i="6"/>
  <c r="H35" i="6"/>
  <c r="H32" i="6"/>
  <c r="H23" i="6"/>
  <c r="H24" i="6"/>
  <c r="H25" i="6"/>
  <c r="H27" i="6"/>
  <c r="H28" i="6"/>
  <c r="H30" i="6"/>
  <c r="H21" i="6"/>
  <c r="H18" i="6"/>
  <c r="H17" i="6"/>
  <c r="E61" i="6"/>
  <c r="E57" i="6"/>
  <c r="E58" i="6"/>
  <c r="E59" i="6"/>
  <c r="E56" i="6"/>
  <c r="E51" i="6"/>
  <c r="E52" i="6"/>
  <c r="E53" i="6"/>
  <c r="E54" i="6"/>
  <c r="E50" i="6"/>
  <c r="E47" i="6"/>
  <c r="E48" i="6"/>
  <c r="E46" i="6"/>
  <c r="E41" i="6"/>
  <c r="E42" i="6"/>
  <c r="E43" i="6"/>
  <c r="E44" i="6"/>
  <c r="E40" i="6"/>
  <c r="E38" i="6"/>
  <c r="E37" i="6"/>
  <c r="E33" i="6"/>
  <c r="E34" i="6"/>
  <c r="E35" i="6"/>
  <c r="E32" i="6"/>
  <c r="E22" i="6"/>
  <c r="E23" i="6"/>
  <c r="E24" i="6"/>
  <c r="E25" i="6"/>
  <c r="E26" i="6"/>
  <c r="E27" i="6"/>
  <c r="E28" i="6"/>
  <c r="E29" i="6"/>
  <c r="E30" i="6"/>
  <c r="E21" i="6"/>
  <c r="E18" i="6"/>
  <c r="E19" i="6"/>
  <c r="E17" i="6"/>
  <c r="H8" i="6"/>
  <c r="H9" i="6"/>
  <c r="H11" i="6"/>
  <c r="H15" i="6"/>
  <c r="H7" i="6"/>
  <c r="E8" i="6"/>
  <c r="E9" i="6"/>
  <c r="E10" i="6"/>
  <c r="E11" i="6"/>
  <c r="E15" i="6"/>
  <c r="E7" i="6"/>
  <c r="D6" i="6"/>
  <c r="G6" i="6" s="1"/>
  <c r="D62" i="6" l="1"/>
  <c r="H62" i="6" s="1"/>
  <c r="C62" i="6"/>
  <c r="E36" i="6"/>
  <c r="H6" i="6"/>
  <c r="E6" i="6"/>
  <c r="H31" i="6"/>
  <c r="E12" i="6"/>
  <c r="E39" i="6"/>
  <c r="G45" i="6"/>
  <c r="H49" i="6"/>
  <c r="G20" i="6"/>
  <c r="G60" i="6"/>
  <c r="E60" i="6"/>
  <c r="H55" i="6"/>
  <c r="E45" i="6"/>
  <c r="G39" i="6"/>
  <c r="H36" i="6"/>
  <c r="E31" i="6"/>
  <c r="E16" i="6"/>
  <c r="G16" i="6"/>
  <c r="H39" i="6"/>
  <c r="G49" i="6"/>
  <c r="H20" i="6"/>
  <c r="E55" i="6"/>
  <c r="E49" i="6"/>
  <c r="E20" i="6"/>
  <c r="E62" i="6" l="1"/>
  <c r="G62" i="6"/>
</calcChain>
</file>

<file path=xl/sharedStrings.xml><?xml version="1.0" encoding="utf-8"?>
<sst xmlns="http://schemas.openxmlformats.org/spreadsheetml/2006/main" count="125" uniqueCount="125">
  <si>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</si>
  <si>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</si>
  <si>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</si>
  <si>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</si>
  <si>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</si>
  <si>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</si>
  <si>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</si>
  <si>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</si>
  <si>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</si>
  <si>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</si>
  <si>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</si>
  <si>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Общеэкономические вопросы</t>
  </si>
  <si>
    <t>Сельское хозяйство и рыболовство</t>
  </si>
  <si>
    <t>Водное хозяйство</t>
  </si>
  <si>
    <t>Лесное хозяйство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</si>
  <si>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</si>
  <si>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</si>
  <si>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</si>
  <si>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</si>
  <si>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</si>
  <si>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</si>
  <si>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</si>
  <si>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</si>
  <si>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</si>
  <si>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</si>
  <si>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</si>
  <si>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</si>
  <si>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</si>
  <si>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</si>
  <si>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</si>
  <si>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</si>
  <si>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</si>
  <si>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</si>
  <si>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</si>
  <si>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</si>
  <si>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Кинематография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</si>
  <si>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</si>
  <si>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</si>
  <si>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</si>
  <si>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</si>
  <si>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</si>
  <si>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</si>
  <si>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</si>
  <si>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</si>
  <si>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</si>
  <si>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</si>
  <si>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</si>
  <si>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</si>
  <si>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</si>
  <si>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</si>
  <si>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Итого:</t>
  </si>
  <si>
    <t xml:space="preserve">Наименование </t>
  </si>
  <si>
    <t>Процент исполнения к уточненному плану, %</t>
  </si>
  <si>
    <t>0100</t>
  </si>
  <si>
    <t>0102</t>
  </si>
  <si>
    <t>0103</t>
  </si>
  <si>
    <t>0104</t>
  </si>
  <si>
    <t>0105</t>
  </si>
  <si>
    <t>0106</t>
  </si>
  <si>
    <t>0107</t>
  </si>
  <si>
    <t>0111</t>
  </si>
  <si>
    <t>0113</t>
  </si>
  <si>
    <t>0300</t>
  </si>
  <si>
    <t>0309</t>
  </si>
  <si>
    <t>0310</t>
  </si>
  <si>
    <t>0400</t>
  </si>
  <si>
    <t>0401</t>
  </si>
  <si>
    <t>0405</t>
  </si>
  <si>
    <t>0406</t>
  </si>
  <si>
    <t>0407</t>
  </si>
  <si>
    <t>0408</t>
  </si>
  <si>
    <t>0409</t>
  </si>
  <si>
    <t>0410</t>
  </si>
  <si>
    <t>0412</t>
  </si>
  <si>
    <t>0500</t>
  </si>
  <si>
    <t>0501</t>
  </si>
  <si>
    <t>0502</t>
  </si>
  <si>
    <t>0503</t>
  </si>
  <si>
    <t>0505</t>
  </si>
  <si>
    <t>0600</t>
  </si>
  <si>
    <t>0603</t>
  </si>
  <si>
    <t>0605</t>
  </si>
  <si>
    <t>0700</t>
  </si>
  <si>
    <t>0701</t>
  </si>
  <si>
    <t>0702</t>
  </si>
  <si>
    <t>0703</t>
  </si>
  <si>
    <t>0707</t>
  </si>
  <si>
    <t>0709</t>
  </si>
  <si>
    <t>0800</t>
  </si>
  <si>
    <t>0801</t>
  </si>
  <si>
    <t>0802</t>
  </si>
  <si>
    <t>0804</t>
  </si>
  <si>
    <t>1000</t>
  </si>
  <si>
    <t>1001</t>
  </si>
  <si>
    <t>1002</t>
  </si>
  <si>
    <t>1003</t>
  </si>
  <si>
    <t>1004</t>
  </si>
  <si>
    <t>1006</t>
  </si>
  <si>
    <t>1100</t>
  </si>
  <si>
    <t>1101</t>
  </si>
  <si>
    <t>1102</t>
  </si>
  <si>
    <t>1103</t>
  </si>
  <si>
    <t>1105</t>
  </si>
  <si>
    <t>1301</t>
  </si>
  <si>
    <t>1300</t>
  </si>
  <si>
    <t>Раздел, подраздел</t>
  </si>
  <si>
    <t>0311</t>
  </si>
  <si>
    <t>Миграционная политика</t>
  </si>
  <si>
    <t>0402</t>
  </si>
  <si>
    <t>Топливно-энергетический комплекс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</si>
  <si>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</si>
  <si>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</si>
  <si>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абс. сумма</t>
  </si>
  <si>
    <t>%</t>
  </si>
  <si>
    <t>Отклонение к соответствующему периоду прошлого года</t>
  </si>
  <si>
    <t>0411</t>
  </si>
  <si>
    <t xml:space="preserve">Прикладные научные исследования в области национальной экономики
</t>
  </si>
  <si>
    <t>(тыс. рублей)</t>
  </si>
  <si>
    <t>2024 год</t>
  </si>
  <si>
    <t>Сведения об исполнении бюджета города Невинномысска по расходам за I полугодие 2024 года в разрезе разделов и подразделов классификации расходов в сравнении с запланированными значениями на 2024 год и соответствующим периодом прошлого года</t>
  </si>
  <si>
    <t>План 
на 2024 год
(сводная бюджетная роспись по состоянию на 01.07.2024 г.)</t>
  </si>
  <si>
    <t xml:space="preserve">Исполнение 
за   I полугодие 2024 года
</t>
  </si>
  <si>
    <t>0108</t>
  </si>
  <si>
    <t>Международные отношения и международное сотрудничество</t>
  </si>
  <si>
    <t xml:space="preserve">Исполнено за  
I  полугодие 2023 года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</si>
</sst>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&quot;###,##0.00"/>
    <numFmt numFmtId="165" formatCode="#,##0.00;[Red]\-#,##0.00"/>
  </numFmts>
  <fonts count="3" x14ac:knownFonts="1">
    <font>
      <sz val="10"/>
      <name val="Arial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left" vertical="top" wrapText="1"/>
    </xf>
    <xf numFmtId="0" fontId="0" fillId="0" borderId="0" xfId="0" applyBorder="1"/>
    <xf numFmtId="164" fontId="0" fillId="0" borderId="0" xfId="0" applyNumberFormat="1" applyFill="1" applyBorder="1"/>
    <xf numFmtId="164" fontId="0" fillId="0" borderId="0" xfId="0" applyNumberFormat="1"/>
    <xf numFmtId="0" fontId="2" fillId="0" borderId="1" xfId="0" applyFont="1" applyBorder="1" applyAlignment="1">
      <alignment horizontal="center" vertical="center"/>
    </xf>
    <xf numFmtId="0" fontId="0" fillId="0" borderId="0" xfId="0" applyFill="1"/>
    <xf numFmtId="49" fontId="0" fillId="0" borderId="0" xfId="0" applyNumberFormat="1" applyFill="1"/>
    <xf numFmtId="165" fontId="0" fillId="0" borderId="0" xfId="0" applyNumberFormat="1" applyFill="1"/>
    <xf numFmtId="164" fontId="0" fillId="0" borderId="0" xfId="0" applyNumberFormat="1" applyFill="1"/>
    <xf numFmtId="164" fontId="2" fillId="0" borderId="0" xfId="0" applyNumberFormat="1" applyFont="1" applyFill="1" applyBorder="1"/>
    <xf numFmtId="164" fontId="2" fillId="0" borderId="1" xfId="0" applyNumberFormat="1" applyFont="1" applyFill="1" applyBorder="1" applyAlignment="1">
      <alignment vertical="center"/>
    </xf>
    <xf numFmtId="2" fontId="2" fillId="2" borderId="1" xfId="0" applyNumberFormat="1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horizontal="right" vertical="center" wrapText="1"/>
    </xf>
    <xf numFmtId="164" fontId="1" fillId="3" borderId="2" xfId="0" applyNumberFormat="1" applyFont="1" applyFill="1" applyBorder="1" applyAlignment="1">
      <alignment horizontal="center" wrapText="1"/>
    </xf>
    <xf numFmtId="164" fontId="1" fillId="3" borderId="1" xfId="0" applyNumberFormat="1" applyFont="1" applyFill="1" applyBorder="1" applyAlignment="1">
      <alignment horizontal="left" wrapText="1"/>
    </xf>
    <xf numFmtId="164" fontId="2" fillId="3" borderId="1" xfId="0" applyNumberFormat="1" applyFont="1" applyFill="1" applyBorder="1" applyAlignment="1">
      <alignment vertical="center"/>
    </xf>
    <xf numFmtId="2" fontId="2" fillId="3" borderId="1" xfId="0" applyNumberFormat="1" applyFont="1" applyFill="1" applyBorder="1" applyAlignment="1">
      <alignment vertical="center"/>
    </xf>
    <xf numFmtId="164" fontId="1" fillId="3" borderId="1" xfId="0" applyNumberFormat="1" applyFont="1" applyFill="1" applyBorder="1" applyAlignment="1">
      <alignment horizontal="right" vertical="center" wrapText="1"/>
    </xf>
    <xf numFmtId="164" fontId="1" fillId="3" borderId="2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left" vertical="top" wrapText="1"/>
    </xf>
    <xf numFmtId="49" fontId="1" fillId="3" borderId="2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5"/>
  <sheetViews>
    <sheetView tabSelected="1" workbookViewId="0">
      <selection activeCell="F13" sqref="F13"/>
    </sheetView>
  </sheetViews>
  <sheetFormatPr defaultRowHeight="15.75" x14ac:dyDescent="0.25"/>
  <cols>
    <col min="1" max="1" width="12.28515625" style="3" customWidth="1"/>
    <col min="2" max="2" width="50.7109375" customWidth="1"/>
    <col min="3" max="3" width="24" customWidth="1"/>
    <col min="4" max="4" width="22.42578125" customWidth="1"/>
    <col min="5" max="5" width="14" style="1" customWidth="1"/>
    <col min="6" max="6" width="26.28515625" customWidth="1"/>
    <col min="7" max="7" width="15.140625" customWidth="1"/>
    <col min="8" max="8" width="13.5703125" customWidth="1"/>
    <col min="10" max="10" width="9.140625" style="12"/>
    <col min="11" max="12" width="12.7109375" style="12" bestFit="1" customWidth="1"/>
    <col min="13" max="15" width="9.140625" style="12"/>
  </cols>
  <sheetData>
    <row r="1" spans="1:15" ht="15.75" customHeight="1" x14ac:dyDescent="0.2">
      <c r="A1" s="30" t="s">
        <v>119</v>
      </c>
      <c r="B1" s="30"/>
      <c r="C1" s="30"/>
      <c r="D1" s="30"/>
      <c r="E1" s="30"/>
      <c r="F1" s="30"/>
      <c r="G1" s="30"/>
      <c r="H1" s="30"/>
    </row>
    <row r="2" spans="1:15" ht="15.75" customHeight="1" x14ac:dyDescent="0.2">
      <c r="A2" s="30"/>
      <c r="B2" s="30"/>
      <c r="C2" s="30"/>
      <c r="D2" s="30"/>
      <c r="E2" s="30"/>
      <c r="F2" s="30"/>
      <c r="G2" s="30"/>
      <c r="H2" s="30"/>
    </row>
    <row r="3" spans="1:15" x14ac:dyDescent="0.25">
      <c r="E3" s="2"/>
      <c r="H3" s="2" t="s">
        <v>117</v>
      </c>
    </row>
    <row r="4" spans="1:15" ht="52.5" customHeight="1" x14ac:dyDescent="0.2">
      <c r="A4" s="31" t="s">
        <v>105</v>
      </c>
      <c r="B4" s="35" t="s">
        <v>51</v>
      </c>
      <c r="C4" s="35" t="s">
        <v>118</v>
      </c>
      <c r="D4" s="35"/>
      <c r="E4" s="31" t="s">
        <v>52</v>
      </c>
      <c r="F4" s="31" t="s">
        <v>124</v>
      </c>
      <c r="G4" s="33" t="s">
        <v>114</v>
      </c>
      <c r="H4" s="34"/>
    </row>
    <row r="5" spans="1:15" ht="113.25" customHeight="1" x14ac:dyDescent="0.2">
      <c r="A5" s="36"/>
      <c r="B5" s="35"/>
      <c r="C5" s="4" t="s">
        <v>120</v>
      </c>
      <c r="D5" s="4" t="s">
        <v>121</v>
      </c>
      <c r="E5" s="32"/>
      <c r="F5" s="32"/>
      <c r="G5" s="11" t="s">
        <v>112</v>
      </c>
      <c r="H5" s="4" t="s">
        <v>113</v>
      </c>
    </row>
    <row r="6" spans="1:15" x14ac:dyDescent="0.25">
      <c r="A6" s="20" t="s">
        <v>53</v>
      </c>
      <c r="B6" s="21" t="s">
        <v>0</v>
      </c>
      <c r="C6" s="22">
        <f>SUM(C7:C15)</f>
        <v>269829.33999999997</v>
      </c>
      <c r="D6" s="22">
        <f>SUM(D7:D15)</f>
        <v>109890.38</v>
      </c>
      <c r="E6" s="23">
        <f>D6/C6*100</f>
        <v>40.725882515222409</v>
      </c>
      <c r="F6" s="22">
        <f>SUM(F7:F15)</f>
        <v>139026.90000000002</v>
      </c>
      <c r="G6" s="22">
        <f>D6-F6</f>
        <v>-29136.520000000019</v>
      </c>
      <c r="H6" s="24">
        <f>D6/F6*100</f>
        <v>79.04253061817532</v>
      </c>
      <c r="J6" s="13"/>
      <c r="K6" s="14"/>
      <c r="L6" s="14"/>
      <c r="M6" s="14"/>
      <c r="N6" s="15"/>
      <c r="O6" s="15"/>
    </row>
    <row r="7" spans="1:15" ht="47.25" x14ac:dyDescent="0.2">
      <c r="A7" s="5" t="s">
        <v>54</v>
      </c>
      <c r="B7" s="7" t="s">
        <v>1</v>
      </c>
      <c r="C7" s="17">
        <v>1843.91</v>
      </c>
      <c r="D7" s="17">
        <v>976.47</v>
      </c>
      <c r="E7" s="18">
        <f>D7/C7*100</f>
        <v>52.956489199581327</v>
      </c>
      <c r="F7" s="17">
        <f>875.59</f>
        <v>875.59</v>
      </c>
      <c r="G7" s="17">
        <f>D7-F7</f>
        <v>100.88</v>
      </c>
      <c r="H7" s="19">
        <f>D7/F7*100</f>
        <v>111.5213741591384</v>
      </c>
      <c r="J7" s="13"/>
      <c r="K7" s="14"/>
      <c r="L7" s="14"/>
      <c r="M7" s="14"/>
      <c r="N7" s="15"/>
      <c r="O7" s="15"/>
    </row>
    <row r="8" spans="1:15" ht="63" x14ac:dyDescent="0.2">
      <c r="A8" s="5" t="s">
        <v>55</v>
      </c>
      <c r="B8" s="7" t="s">
        <v>2</v>
      </c>
      <c r="C8" s="17">
        <v>9191.0499999999993</v>
      </c>
      <c r="D8" s="17">
        <v>4205.13</v>
      </c>
      <c r="E8" s="18">
        <f t="shared" ref="E8:E15" si="0">D8/C8*100</f>
        <v>45.752443953628806</v>
      </c>
      <c r="F8" s="17">
        <v>3180.51</v>
      </c>
      <c r="G8" s="17">
        <f t="shared" ref="G8:G15" si="1">D8-F8</f>
        <v>1024.6199999999999</v>
      </c>
      <c r="H8" s="19">
        <f t="shared" ref="H8:H15" si="2">D8/F8*100</f>
        <v>132.21558806606487</v>
      </c>
      <c r="J8" s="13"/>
      <c r="K8" s="14"/>
      <c r="L8" s="14"/>
      <c r="M8" s="14"/>
      <c r="N8" s="15"/>
      <c r="O8" s="15"/>
    </row>
    <row r="9" spans="1:15" ht="63" x14ac:dyDescent="0.2">
      <c r="A9" s="5" t="s">
        <v>56</v>
      </c>
      <c r="B9" s="7" t="s">
        <v>3</v>
      </c>
      <c r="C9" s="17">
        <v>62892.83</v>
      </c>
      <c r="D9" s="17">
        <v>26845.29</v>
      </c>
      <c r="E9" s="18">
        <f t="shared" si="0"/>
        <v>42.684181964780407</v>
      </c>
      <c r="F9" s="17">
        <v>27627.24</v>
      </c>
      <c r="G9" s="17">
        <f t="shared" si="1"/>
        <v>-781.95000000000073</v>
      </c>
      <c r="H9" s="19">
        <f t="shared" si="2"/>
        <v>97.169641267097248</v>
      </c>
      <c r="J9" s="13"/>
      <c r="K9" s="14"/>
      <c r="L9" s="14"/>
      <c r="M9" s="14"/>
      <c r="N9" s="15"/>
      <c r="O9" s="15"/>
    </row>
    <row r="10" spans="1:15" x14ac:dyDescent="0.2">
      <c r="A10" s="5" t="s">
        <v>57</v>
      </c>
      <c r="B10" s="7" t="s">
        <v>4</v>
      </c>
      <c r="C10" s="17">
        <v>13.23</v>
      </c>
      <c r="D10" s="17">
        <v>0</v>
      </c>
      <c r="E10" s="18">
        <f t="shared" si="0"/>
        <v>0</v>
      </c>
      <c r="F10" s="17">
        <v>0</v>
      </c>
      <c r="G10" s="17">
        <f t="shared" si="1"/>
        <v>0</v>
      </c>
      <c r="H10" s="19">
        <v>0</v>
      </c>
      <c r="J10" s="13"/>
      <c r="K10" s="14"/>
      <c r="L10" s="14"/>
      <c r="M10" s="14"/>
      <c r="N10" s="15"/>
      <c r="O10" s="15"/>
    </row>
    <row r="11" spans="1:15" ht="47.25" x14ac:dyDescent="0.2">
      <c r="A11" s="5" t="s">
        <v>58</v>
      </c>
      <c r="B11" s="7" t="s">
        <v>5</v>
      </c>
      <c r="C11" s="17">
        <f>21830.91+3252.58</f>
        <v>25083.489999999998</v>
      </c>
      <c r="D11" s="17">
        <f>9093.87+1531.17</f>
        <v>10625.04</v>
      </c>
      <c r="E11" s="18">
        <f t="shared" si="0"/>
        <v>42.358698889189668</v>
      </c>
      <c r="F11" s="17">
        <f>9113.14+1448.48</f>
        <v>10561.619999999999</v>
      </c>
      <c r="G11" s="17">
        <f t="shared" si="1"/>
        <v>63.420000000001892</v>
      </c>
      <c r="H11" s="19">
        <f t="shared" si="2"/>
        <v>100.6004760633312</v>
      </c>
      <c r="J11" s="13"/>
      <c r="K11" s="14"/>
      <c r="L11" s="14"/>
      <c r="M11" s="14"/>
      <c r="N11" s="15"/>
      <c r="O11" s="15"/>
    </row>
    <row r="12" spans="1:15" ht="18" hidden="1" customHeight="1" x14ac:dyDescent="0.2">
      <c r="A12" s="5" t="s">
        <v>59</v>
      </c>
      <c r="B12" s="7" t="s">
        <v>6</v>
      </c>
      <c r="C12" s="17"/>
      <c r="D12" s="17"/>
      <c r="E12" s="18" t="e">
        <f t="shared" si="0"/>
        <v>#DIV/0!</v>
      </c>
      <c r="F12" s="17"/>
      <c r="G12" s="17">
        <f t="shared" si="1"/>
        <v>0</v>
      </c>
      <c r="H12" s="19" t="e">
        <f t="shared" si="2"/>
        <v>#DIV/0!</v>
      </c>
      <c r="J12" s="13"/>
      <c r="K12" s="14"/>
      <c r="L12" s="14"/>
      <c r="M12" s="14"/>
      <c r="N12" s="15"/>
      <c r="O12" s="15"/>
    </row>
    <row r="13" spans="1:15" ht="18" customHeight="1" x14ac:dyDescent="0.2">
      <c r="A13" s="5" t="s">
        <v>122</v>
      </c>
      <c r="B13" s="7" t="s">
        <v>123</v>
      </c>
      <c r="C13" s="17">
        <v>2346.66</v>
      </c>
      <c r="D13" s="17">
        <v>1994.7</v>
      </c>
      <c r="E13" s="18">
        <f t="shared" si="0"/>
        <v>85.001661936539591</v>
      </c>
      <c r="F13" s="17">
        <v>33779.620000000003</v>
      </c>
      <c r="G13" s="17">
        <f t="shared" si="1"/>
        <v>-31784.920000000002</v>
      </c>
      <c r="H13" s="19">
        <f t="shared" si="2"/>
        <v>5.90503978434334</v>
      </c>
      <c r="J13" s="13"/>
      <c r="K13" s="14"/>
      <c r="L13" s="14"/>
      <c r="M13" s="14"/>
      <c r="N13" s="15"/>
      <c r="O13" s="15"/>
    </row>
    <row r="14" spans="1:15" x14ac:dyDescent="0.2">
      <c r="A14" s="5" t="s">
        <v>60</v>
      </c>
      <c r="B14" s="7" t="s">
        <v>7</v>
      </c>
      <c r="C14" s="17">
        <v>15000</v>
      </c>
      <c r="D14" s="17">
        <v>0</v>
      </c>
      <c r="E14" s="18">
        <f t="shared" si="0"/>
        <v>0</v>
      </c>
      <c r="F14" s="17"/>
      <c r="G14" s="17">
        <f t="shared" si="1"/>
        <v>0</v>
      </c>
      <c r="H14" s="19">
        <v>0</v>
      </c>
      <c r="J14" s="13"/>
      <c r="K14" s="14"/>
      <c r="L14" s="14"/>
      <c r="M14" s="14"/>
      <c r="N14" s="15"/>
      <c r="O14" s="15"/>
    </row>
    <row r="15" spans="1:15" x14ac:dyDescent="0.2">
      <c r="A15" s="5" t="s">
        <v>61</v>
      </c>
      <c r="B15" s="7" t="s">
        <v>8</v>
      </c>
      <c r="C15" s="17">
        <f>162.45+47339.41+44665.77+48600.81+210.65+480.49+7822.22+4157.79+18.58</f>
        <v>153458.16999999998</v>
      </c>
      <c r="D15" s="17">
        <f>59.48+23489.18+20127.48+21103.44+45.48+400.11+18.58</f>
        <v>65243.750000000007</v>
      </c>
      <c r="E15" s="18">
        <f t="shared" si="0"/>
        <v>42.515657524131825</v>
      </c>
      <c r="F15" s="17">
        <f>57.12+21827.26+17945.79+19109.33+42.31+3632.23+373+15.28</f>
        <v>63002.32</v>
      </c>
      <c r="G15" s="17">
        <f t="shared" si="1"/>
        <v>2241.4300000000076</v>
      </c>
      <c r="H15" s="19">
        <f t="shared" si="2"/>
        <v>103.55769438331797</v>
      </c>
      <c r="J15" s="13"/>
      <c r="K15" s="14"/>
      <c r="L15" s="14"/>
      <c r="M15" s="14"/>
      <c r="N15" s="15"/>
      <c r="O15" s="15"/>
    </row>
    <row r="16" spans="1:15" ht="31.5" x14ac:dyDescent="0.2">
      <c r="A16" s="25" t="s">
        <v>62</v>
      </c>
      <c r="B16" s="26" t="s">
        <v>9</v>
      </c>
      <c r="C16" s="22">
        <f>SUM(C17:C19)</f>
        <v>94324.12</v>
      </c>
      <c r="D16" s="22">
        <f>SUM(D17:D19)</f>
        <v>39314.379999999997</v>
      </c>
      <c r="E16" s="23">
        <f>D16/C16*100</f>
        <v>41.680092006159185</v>
      </c>
      <c r="F16" s="22">
        <f>SUM(F17:F19)</f>
        <v>11166.9</v>
      </c>
      <c r="G16" s="22">
        <f>D16-F16</f>
        <v>28147.479999999996</v>
      </c>
      <c r="H16" s="24">
        <f>D16/F16*100</f>
        <v>352.06171811335281</v>
      </c>
      <c r="J16" s="13"/>
      <c r="K16" s="14"/>
      <c r="L16" s="14"/>
      <c r="M16" s="14"/>
      <c r="N16" s="15"/>
      <c r="O16" s="15"/>
    </row>
    <row r="17" spans="1:15" x14ac:dyDescent="0.2">
      <c r="A17" s="5" t="s">
        <v>63</v>
      </c>
      <c r="B17" s="7" t="s">
        <v>110</v>
      </c>
      <c r="C17" s="17">
        <v>1365.9</v>
      </c>
      <c r="D17" s="17">
        <v>423.2</v>
      </c>
      <c r="E17" s="18">
        <f>D17/C17*100</f>
        <v>30.983234497400979</v>
      </c>
      <c r="F17" s="17">
        <v>611.22</v>
      </c>
      <c r="G17" s="17">
        <f t="shared" ref="G17:G19" si="3">D17-F17</f>
        <v>-188.02000000000004</v>
      </c>
      <c r="H17" s="19">
        <f t="shared" ref="H17" si="4">D17/F17*100</f>
        <v>69.238572036255349</v>
      </c>
      <c r="J17" s="13"/>
      <c r="K17" s="14"/>
      <c r="L17" s="14"/>
      <c r="M17" s="14"/>
      <c r="N17" s="15"/>
      <c r="O17" s="15"/>
    </row>
    <row r="18" spans="1:15" ht="47.25" x14ac:dyDescent="0.2">
      <c r="A18" s="5" t="s">
        <v>64</v>
      </c>
      <c r="B18" s="7" t="s">
        <v>111</v>
      </c>
      <c r="C18" s="17">
        <v>30807.82</v>
      </c>
      <c r="D18" s="17">
        <v>13393.58</v>
      </c>
      <c r="E18" s="18">
        <f t="shared" ref="E18:E61" si="5">D18/C18*100</f>
        <v>43.474611316217768</v>
      </c>
      <c r="F18" s="17">
        <v>10555.68</v>
      </c>
      <c r="G18" s="17">
        <f t="shared" si="3"/>
        <v>2837.8999999999996</v>
      </c>
      <c r="H18" s="19">
        <f t="shared" ref="H18" si="6">D18/F18*100</f>
        <v>126.88505146044594</v>
      </c>
      <c r="J18" s="13"/>
      <c r="K18" s="14"/>
      <c r="L18" s="14"/>
      <c r="M18" s="14"/>
      <c r="N18" s="15"/>
      <c r="O18" s="15"/>
    </row>
    <row r="19" spans="1:15" x14ac:dyDescent="0.2">
      <c r="A19" s="6" t="s">
        <v>106</v>
      </c>
      <c r="B19" s="7" t="s">
        <v>107</v>
      </c>
      <c r="C19" s="17">
        <v>62150.400000000001</v>
      </c>
      <c r="D19" s="17">
        <v>25497.599999999999</v>
      </c>
      <c r="E19" s="18">
        <f t="shared" si="5"/>
        <v>41.025641025641022</v>
      </c>
      <c r="F19" s="17">
        <v>0</v>
      </c>
      <c r="G19" s="17">
        <f t="shared" si="3"/>
        <v>25497.599999999999</v>
      </c>
      <c r="H19" s="19">
        <v>0</v>
      </c>
      <c r="J19" s="13"/>
      <c r="K19" s="14"/>
      <c r="L19" s="14"/>
      <c r="M19" s="14"/>
      <c r="N19" s="15"/>
      <c r="O19" s="15"/>
    </row>
    <row r="20" spans="1:15" x14ac:dyDescent="0.2">
      <c r="A20" s="25" t="s">
        <v>65</v>
      </c>
      <c r="B20" s="26" t="s">
        <v>10</v>
      </c>
      <c r="C20" s="22">
        <f>SUM(C21:C30)</f>
        <v>689301.6100000001</v>
      </c>
      <c r="D20" s="22">
        <f>SUM(D21:D30)</f>
        <v>189441.18000000002</v>
      </c>
      <c r="E20" s="23">
        <f>D20/C20*100</f>
        <v>27.483060717064046</v>
      </c>
      <c r="F20" s="22">
        <f>SUM(F21:F30)</f>
        <v>434399.74</v>
      </c>
      <c r="G20" s="22">
        <f>D20-F20</f>
        <v>-244958.55999999997</v>
      </c>
      <c r="H20" s="24">
        <f>D20/F20*100</f>
        <v>43.609874167972571</v>
      </c>
      <c r="J20" s="13"/>
      <c r="K20" s="14"/>
      <c r="L20" s="14"/>
      <c r="M20" s="14"/>
      <c r="N20" s="15"/>
      <c r="O20" s="15"/>
    </row>
    <row r="21" spans="1:15" hidden="1" x14ac:dyDescent="0.2">
      <c r="A21" s="5" t="s">
        <v>66</v>
      </c>
      <c r="B21" s="7" t="s">
        <v>11</v>
      </c>
      <c r="C21" s="17"/>
      <c r="D21" s="17"/>
      <c r="E21" s="18" t="e">
        <f t="shared" si="5"/>
        <v>#DIV/0!</v>
      </c>
      <c r="F21" s="17"/>
      <c r="G21" s="22">
        <f t="shared" ref="G21:G30" si="7">D21-F21</f>
        <v>0</v>
      </c>
      <c r="H21" s="19" t="e">
        <f t="shared" ref="H21" si="8">D21/F21*100</f>
        <v>#DIV/0!</v>
      </c>
      <c r="J21" s="13"/>
      <c r="K21" s="14"/>
      <c r="L21" s="14"/>
      <c r="M21" s="14"/>
      <c r="N21" s="15"/>
      <c r="O21" s="15"/>
    </row>
    <row r="22" spans="1:15" hidden="1" x14ac:dyDescent="0.2">
      <c r="A22" s="6" t="s">
        <v>108</v>
      </c>
      <c r="B22" s="7" t="s">
        <v>109</v>
      </c>
      <c r="C22" s="17"/>
      <c r="D22" s="17"/>
      <c r="E22" s="18" t="e">
        <f t="shared" si="5"/>
        <v>#DIV/0!</v>
      </c>
      <c r="F22" s="17"/>
      <c r="G22" s="22">
        <f t="shared" si="7"/>
        <v>0</v>
      </c>
      <c r="H22" s="19"/>
      <c r="J22" s="13"/>
      <c r="K22" s="14"/>
      <c r="L22" s="14"/>
      <c r="M22" s="14"/>
      <c r="N22" s="15"/>
      <c r="O22" s="15"/>
    </row>
    <row r="23" spans="1:15" hidden="1" x14ac:dyDescent="0.2">
      <c r="A23" s="5" t="s">
        <v>67</v>
      </c>
      <c r="B23" s="7" t="s">
        <v>12</v>
      </c>
      <c r="C23" s="17"/>
      <c r="D23" s="17"/>
      <c r="E23" s="18" t="e">
        <f t="shared" si="5"/>
        <v>#DIV/0!</v>
      </c>
      <c r="F23" s="17"/>
      <c r="G23" s="22">
        <f t="shared" si="7"/>
        <v>0</v>
      </c>
      <c r="H23" s="19" t="e">
        <f t="shared" ref="H23:H30" si="9">D23/F23*100</f>
        <v>#DIV/0!</v>
      </c>
      <c r="J23" s="13"/>
      <c r="K23" s="14"/>
      <c r="L23" s="14"/>
      <c r="M23" s="14"/>
      <c r="N23" s="15"/>
      <c r="O23" s="15"/>
    </row>
    <row r="24" spans="1:15" hidden="1" x14ac:dyDescent="0.2">
      <c r="A24" s="5" t="s">
        <v>68</v>
      </c>
      <c r="B24" s="7" t="s">
        <v>13</v>
      </c>
      <c r="C24" s="17"/>
      <c r="D24" s="17"/>
      <c r="E24" s="18" t="e">
        <f t="shared" si="5"/>
        <v>#DIV/0!</v>
      </c>
      <c r="F24" s="17"/>
      <c r="G24" s="22">
        <f t="shared" si="7"/>
        <v>0</v>
      </c>
      <c r="H24" s="19" t="e">
        <f t="shared" si="9"/>
        <v>#DIV/0!</v>
      </c>
      <c r="J24" s="13"/>
      <c r="K24" s="14"/>
      <c r="L24" s="14"/>
      <c r="M24" s="14"/>
      <c r="N24" s="15"/>
      <c r="O24" s="15"/>
    </row>
    <row r="25" spans="1:15" x14ac:dyDescent="0.2">
      <c r="A25" s="5" t="s">
        <v>69</v>
      </c>
      <c r="B25" s="7" t="s">
        <v>14</v>
      </c>
      <c r="C25" s="17">
        <v>983.63</v>
      </c>
      <c r="D25" s="17">
        <v>403.04</v>
      </c>
      <c r="E25" s="18">
        <f t="shared" si="5"/>
        <v>40.974756768297027</v>
      </c>
      <c r="F25" s="17">
        <v>341.27</v>
      </c>
      <c r="G25" s="17">
        <f t="shared" si="7"/>
        <v>61.770000000000039</v>
      </c>
      <c r="H25" s="19">
        <f t="shared" si="9"/>
        <v>118.10003809300555</v>
      </c>
      <c r="J25" s="13"/>
      <c r="K25" s="14"/>
      <c r="L25" s="14"/>
      <c r="M25" s="14"/>
      <c r="N25" s="15"/>
      <c r="O25" s="15"/>
    </row>
    <row r="26" spans="1:15" x14ac:dyDescent="0.2">
      <c r="A26" s="5" t="s">
        <v>70</v>
      </c>
      <c r="B26" s="7" t="s">
        <v>15</v>
      </c>
      <c r="C26" s="17">
        <v>6252.63</v>
      </c>
      <c r="D26" s="17">
        <v>0</v>
      </c>
      <c r="E26" s="18">
        <f t="shared" si="5"/>
        <v>0</v>
      </c>
      <c r="F26" s="17">
        <v>0</v>
      </c>
      <c r="G26" s="17">
        <f t="shared" si="7"/>
        <v>0</v>
      </c>
      <c r="H26" s="19">
        <v>0</v>
      </c>
      <c r="J26" s="13"/>
      <c r="K26" s="14"/>
      <c r="L26" s="14"/>
      <c r="M26" s="14"/>
      <c r="N26" s="15"/>
      <c r="O26" s="15"/>
    </row>
    <row r="27" spans="1:15" x14ac:dyDescent="0.2">
      <c r="A27" s="5" t="s">
        <v>71</v>
      </c>
      <c r="B27" s="7" t="s">
        <v>16</v>
      </c>
      <c r="C27" s="17">
        <f>399135.4+281164.45</f>
        <v>680299.85000000009</v>
      </c>
      <c r="D27" s="17">
        <f>110239.6+78582.07</f>
        <v>188821.67</v>
      </c>
      <c r="E27" s="18">
        <f t="shared" si="5"/>
        <v>27.755653628322861</v>
      </c>
      <c r="F27" s="17">
        <f>277039.3+156872.32</f>
        <v>433911.62</v>
      </c>
      <c r="G27" s="17">
        <f t="shared" si="7"/>
        <v>-245089.94999999998</v>
      </c>
      <c r="H27" s="19">
        <f t="shared" si="9"/>
        <v>43.516158889683574</v>
      </c>
      <c r="J27" s="13"/>
      <c r="K27" s="14"/>
      <c r="L27" s="14"/>
      <c r="M27" s="14"/>
      <c r="N27" s="15"/>
      <c r="O27" s="15"/>
    </row>
    <row r="28" spans="1:15" hidden="1" x14ac:dyDescent="0.2">
      <c r="A28" s="5" t="s">
        <v>72</v>
      </c>
      <c r="B28" s="7" t="s">
        <v>17</v>
      </c>
      <c r="C28" s="17"/>
      <c r="D28" s="17"/>
      <c r="E28" s="18" t="e">
        <f t="shared" si="5"/>
        <v>#DIV/0!</v>
      </c>
      <c r="F28" s="17">
        <v>0</v>
      </c>
      <c r="G28" s="17">
        <f t="shared" si="7"/>
        <v>0</v>
      </c>
      <c r="H28" s="19" t="e">
        <f t="shared" si="9"/>
        <v>#DIV/0!</v>
      </c>
      <c r="J28" s="13"/>
      <c r="K28" s="14"/>
      <c r="L28" s="14"/>
      <c r="M28" s="14"/>
      <c r="N28" s="15"/>
      <c r="O28" s="15"/>
    </row>
    <row r="29" spans="1:15" ht="36" customHeight="1" x14ac:dyDescent="0.2">
      <c r="A29" s="6" t="s">
        <v>115</v>
      </c>
      <c r="B29" s="7" t="s">
        <v>116</v>
      </c>
      <c r="C29" s="17">
        <v>1300</v>
      </c>
      <c r="D29" s="17">
        <v>0</v>
      </c>
      <c r="E29" s="18">
        <f t="shared" si="5"/>
        <v>0</v>
      </c>
      <c r="F29" s="17">
        <v>0</v>
      </c>
      <c r="G29" s="17">
        <f t="shared" si="7"/>
        <v>0</v>
      </c>
      <c r="H29" s="19">
        <v>0</v>
      </c>
      <c r="J29" s="13"/>
      <c r="K29" s="14"/>
      <c r="L29" s="14"/>
      <c r="M29" s="14"/>
      <c r="N29" s="15"/>
      <c r="O29" s="15"/>
    </row>
    <row r="30" spans="1:15" ht="31.5" x14ac:dyDescent="0.2">
      <c r="A30" s="5" t="s">
        <v>73</v>
      </c>
      <c r="B30" s="7" t="s">
        <v>18</v>
      </c>
      <c r="C30" s="17">
        <f>13.8+451.7</f>
        <v>465.5</v>
      </c>
      <c r="D30" s="17">
        <v>216.47</v>
      </c>
      <c r="E30" s="18">
        <f t="shared" si="5"/>
        <v>46.502685284640172</v>
      </c>
      <c r="F30" s="17">
        <v>146.85</v>
      </c>
      <c r="G30" s="17">
        <f t="shared" si="7"/>
        <v>69.62</v>
      </c>
      <c r="H30" s="19">
        <f t="shared" si="9"/>
        <v>147.40892066734764</v>
      </c>
      <c r="J30" s="13"/>
      <c r="K30" s="14"/>
      <c r="L30" s="14"/>
      <c r="M30" s="14"/>
      <c r="N30" s="15"/>
      <c r="O30" s="15"/>
    </row>
    <row r="31" spans="1:15" x14ac:dyDescent="0.2">
      <c r="A31" s="25" t="s">
        <v>74</v>
      </c>
      <c r="B31" s="26" t="s">
        <v>19</v>
      </c>
      <c r="C31" s="22">
        <f>SUM(C32:C35)</f>
        <v>226597.97</v>
      </c>
      <c r="D31" s="22">
        <f>SUM(D32:D35)</f>
        <v>125895.28</v>
      </c>
      <c r="E31" s="23">
        <f>D31/C31*100</f>
        <v>55.558873718065527</v>
      </c>
      <c r="F31" s="22">
        <f>SUM(F32:F35)</f>
        <v>82814.16</v>
      </c>
      <c r="G31" s="22">
        <f>D31-F31</f>
        <v>43081.119999999995</v>
      </c>
      <c r="H31" s="24">
        <f>D31/F31*100</f>
        <v>152.02144174377906</v>
      </c>
      <c r="J31" s="13"/>
      <c r="K31" s="14"/>
      <c r="L31" s="14"/>
      <c r="M31" s="14"/>
      <c r="N31" s="15"/>
      <c r="O31" s="15"/>
    </row>
    <row r="32" spans="1:15" x14ac:dyDescent="0.2">
      <c r="A32" s="5" t="s">
        <v>75</v>
      </c>
      <c r="B32" s="7" t="s">
        <v>20</v>
      </c>
      <c r="C32" s="17">
        <v>2465.5300000000002</v>
      </c>
      <c r="D32" s="17">
        <v>401.9</v>
      </c>
      <c r="E32" s="18">
        <f t="shared" si="5"/>
        <v>16.300754807282814</v>
      </c>
      <c r="F32" s="17">
        <v>87.91</v>
      </c>
      <c r="G32" s="17">
        <f t="shared" ref="G32:G35" si="10">D32-F32</f>
        <v>313.99</v>
      </c>
      <c r="H32" s="19">
        <f t="shared" ref="H32" si="11">D32/F32*100</f>
        <v>457.1721078375611</v>
      </c>
      <c r="J32" s="13"/>
      <c r="K32" s="14"/>
      <c r="L32" s="14"/>
      <c r="M32" s="14"/>
      <c r="N32" s="15"/>
      <c r="O32" s="15"/>
    </row>
    <row r="33" spans="1:15" x14ac:dyDescent="0.2">
      <c r="A33" s="5" t="s">
        <v>76</v>
      </c>
      <c r="B33" s="7" t="s">
        <v>21</v>
      </c>
      <c r="C33" s="17">
        <v>472.11</v>
      </c>
      <c r="D33" s="17">
        <v>110.27</v>
      </c>
      <c r="E33" s="18">
        <f t="shared" si="5"/>
        <v>23.356844803117916</v>
      </c>
      <c r="F33" s="17">
        <v>14679.76</v>
      </c>
      <c r="G33" s="17">
        <f t="shared" si="10"/>
        <v>-14569.49</v>
      </c>
      <c r="H33" s="19">
        <f t="shared" ref="H33:H35" si="12">D33/F33*100</f>
        <v>0.75117031886079877</v>
      </c>
      <c r="J33" s="13"/>
      <c r="K33" s="14"/>
      <c r="L33" s="14"/>
      <c r="M33" s="14"/>
      <c r="N33" s="15"/>
      <c r="O33" s="15"/>
    </row>
    <row r="34" spans="1:15" x14ac:dyDescent="0.2">
      <c r="A34" s="5" t="s">
        <v>77</v>
      </c>
      <c r="B34" s="7" t="s">
        <v>22</v>
      </c>
      <c r="C34" s="17">
        <f>149943.6+42376.2</f>
        <v>192319.8</v>
      </c>
      <c r="D34" s="17">
        <f>71212.57+41338.2</f>
        <v>112550.77</v>
      </c>
      <c r="E34" s="18">
        <f t="shared" si="5"/>
        <v>58.522715809812617</v>
      </c>
      <c r="F34" s="17">
        <v>55236.32</v>
      </c>
      <c r="G34" s="17">
        <f t="shared" si="10"/>
        <v>57314.450000000004</v>
      </c>
      <c r="H34" s="19">
        <f t="shared" si="12"/>
        <v>203.76225280757302</v>
      </c>
      <c r="J34" s="13"/>
      <c r="K34" s="14"/>
      <c r="L34" s="14"/>
      <c r="M34" s="14"/>
      <c r="N34" s="15"/>
      <c r="O34" s="15"/>
    </row>
    <row r="35" spans="1:15" ht="31.5" x14ac:dyDescent="0.2">
      <c r="A35" s="5" t="s">
        <v>78</v>
      </c>
      <c r="B35" s="7" t="s">
        <v>23</v>
      </c>
      <c r="C35" s="17">
        <f>26777.7+4562.83</f>
        <v>31340.53</v>
      </c>
      <c r="D35" s="17">
        <f>10770.13+2062.21</f>
        <v>12832.34</v>
      </c>
      <c r="E35" s="18">
        <f t="shared" si="5"/>
        <v>40.944872342618332</v>
      </c>
      <c r="F35" s="17">
        <f>11034.51+1775.66</f>
        <v>12810.17</v>
      </c>
      <c r="G35" s="17">
        <f t="shared" si="10"/>
        <v>22.170000000000073</v>
      </c>
      <c r="H35" s="19">
        <f t="shared" si="12"/>
        <v>100.17306561895745</v>
      </c>
      <c r="J35" s="13"/>
      <c r="K35" s="14"/>
      <c r="L35" s="14"/>
      <c r="M35" s="14"/>
      <c r="N35" s="15"/>
      <c r="O35" s="15"/>
    </row>
    <row r="36" spans="1:15" x14ac:dyDescent="0.2">
      <c r="A36" s="25" t="s">
        <v>79</v>
      </c>
      <c r="B36" s="26" t="s">
        <v>24</v>
      </c>
      <c r="C36" s="22">
        <f>SUM(C37:C38)</f>
        <v>4787</v>
      </c>
      <c r="D36" s="22">
        <f>SUM(D37:D38)</f>
        <v>194.41</v>
      </c>
      <c r="E36" s="23">
        <f>D36/C36*100</f>
        <v>4.0612074368080213</v>
      </c>
      <c r="F36" s="22">
        <f>SUM(F37:F38)</f>
        <v>225.4</v>
      </c>
      <c r="G36" s="22">
        <f>D36-F36</f>
        <v>-30.990000000000009</v>
      </c>
      <c r="H36" s="24">
        <f>D36/F36*100</f>
        <v>86.251109139307886</v>
      </c>
      <c r="J36" s="13"/>
      <c r="K36" s="14"/>
      <c r="L36" s="14"/>
      <c r="M36" s="14"/>
      <c r="N36" s="15"/>
      <c r="O36" s="15"/>
    </row>
    <row r="37" spans="1:15" ht="31.5" hidden="1" x14ac:dyDescent="0.2">
      <c r="A37" s="5" t="s">
        <v>80</v>
      </c>
      <c r="B37" s="7" t="s">
        <v>25</v>
      </c>
      <c r="C37" s="17"/>
      <c r="D37" s="17"/>
      <c r="E37" s="18" t="e">
        <f t="shared" si="5"/>
        <v>#DIV/0!</v>
      </c>
      <c r="F37" s="17"/>
      <c r="G37" s="22">
        <f t="shared" ref="G37:G38" si="13">D37-F37</f>
        <v>0</v>
      </c>
      <c r="H37" s="19" t="e">
        <f t="shared" ref="H37:H38" si="14">D37/F37*100</f>
        <v>#DIV/0!</v>
      </c>
      <c r="J37" s="13"/>
      <c r="K37" s="14"/>
      <c r="L37" s="14"/>
      <c r="M37" s="14"/>
      <c r="N37" s="15"/>
      <c r="O37" s="15"/>
    </row>
    <row r="38" spans="1:15" ht="31.5" x14ac:dyDescent="0.2">
      <c r="A38" s="5" t="s">
        <v>81</v>
      </c>
      <c r="B38" s="7" t="s">
        <v>26</v>
      </c>
      <c r="C38" s="17">
        <v>4787</v>
      </c>
      <c r="D38" s="17">
        <v>194.41</v>
      </c>
      <c r="E38" s="18">
        <f t="shared" si="5"/>
        <v>4.0612074368080213</v>
      </c>
      <c r="F38" s="17">
        <v>225.4</v>
      </c>
      <c r="G38" s="17">
        <f t="shared" si="13"/>
        <v>-30.990000000000009</v>
      </c>
      <c r="H38" s="19">
        <f t="shared" si="14"/>
        <v>86.251109139307886</v>
      </c>
      <c r="J38" s="13"/>
      <c r="K38" s="14"/>
      <c r="L38" s="14"/>
      <c r="M38" s="14"/>
      <c r="N38" s="15"/>
      <c r="O38" s="15"/>
    </row>
    <row r="39" spans="1:15" x14ac:dyDescent="0.2">
      <c r="A39" s="25" t="s">
        <v>82</v>
      </c>
      <c r="B39" s="26" t="s">
        <v>27</v>
      </c>
      <c r="C39" s="22">
        <f>SUM(C40:C44)</f>
        <v>2574641.0699999998</v>
      </c>
      <c r="D39" s="22">
        <f>SUM(D40:D44)</f>
        <v>1219280.22</v>
      </c>
      <c r="E39" s="23">
        <f>D39/C39*100</f>
        <v>47.357289301688951</v>
      </c>
      <c r="F39" s="22">
        <f>SUM(F40:F44)</f>
        <v>1215570.7999999998</v>
      </c>
      <c r="G39" s="22">
        <f>D39-F39</f>
        <v>3709.4200000001583</v>
      </c>
      <c r="H39" s="24">
        <f>D39/F39*100</f>
        <v>100.305158695816</v>
      </c>
      <c r="J39" s="13"/>
      <c r="K39" s="14"/>
      <c r="L39" s="14"/>
      <c r="M39" s="14"/>
      <c r="N39" s="15"/>
      <c r="O39" s="15"/>
    </row>
    <row r="40" spans="1:15" x14ac:dyDescent="0.2">
      <c r="A40" s="5" t="s">
        <v>83</v>
      </c>
      <c r="B40" s="7" t="s">
        <v>28</v>
      </c>
      <c r="C40" s="17">
        <f>720754.03+156000</f>
        <v>876754.03</v>
      </c>
      <c r="D40" s="17">
        <f>335620.55+45528.7</f>
        <v>381149.25</v>
      </c>
      <c r="E40" s="18">
        <f t="shared" si="5"/>
        <v>43.472768525512222</v>
      </c>
      <c r="F40" s="17">
        <v>328267.31</v>
      </c>
      <c r="G40" s="19">
        <f t="shared" ref="G40" si="15">D40-F40</f>
        <v>52881.94</v>
      </c>
      <c r="H40" s="19">
        <f t="shared" ref="H40" si="16">D40/F40*100</f>
        <v>116.10941400165615</v>
      </c>
      <c r="J40" s="13"/>
      <c r="K40" s="14"/>
      <c r="L40" s="14"/>
      <c r="M40" s="14"/>
      <c r="N40" s="15"/>
      <c r="O40" s="15"/>
    </row>
    <row r="41" spans="1:15" x14ac:dyDescent="0.2">
      <c r="A41" s="5" t="s">
        <v>84</v>
      </c>
      <c r="B41" s="7" t="s">
        <v>29</v>
      </c>
      <c r="C41" s="17">
        <f>839635.41+515127.69</f>
        <v>1354763.1</v>
      </c>
      <c r="D41" s="17">
        <f>401436.7+235564.45</f>
        <v>637001.15</v>
      </c>
      <c r="E41" s="18">
        <f t="shared" si="5"/>
        <v>47.019375564628234</v>
      </c>
      <c r="F41" s="17">
        <v>604939.94999999995</v>
      </c>
      <c r="G41" s="19">
        <f t="shared" ref="G41:G44" si="17">D41-F41</f>
        <v>32061.20000000007</v>
      </c>
      <c r="H41" s="19">
        <f t="shared" ref="H41:H44" si="18">D41/F41*100</f>
        <v>105.29989794854846</v>
      </c>
      <c r="J41" s="13"/>
      <c r="K41" s="14"/>
      <c r="L41" s="14"/>
      <c r="M41" s="14"/>
      <c r="N41" s="15"/>
      <c r="O41" s="15"/>
    </row>
    <row r="42" spans="1:15" x14ac:dyDescent="0.2">
      <c r="A42" s="5" t="s">
        <v>85</v>
      </c>
      <c r="B42" s="7" t="s">
        <v>30</v>
      </c>
      <c r="C42" s="17">
        <f>89779.76+43537.27</f>
        <v>133317.03</v>
      </c>
      <c r="D42" s="17">
        <f>45816.49+25211.71</f>
        <v>71028.2</v>
      </c>
      <c r="E42" s="18">
        <f t="shared" si="5"/>
        <v>53.277664526429966</v>
      </c>
      <c r="F42" s="17">
        <f>51594.42+24503.01</f>
        <v>76097.429999999993</v>
      </c>
      <c r="G42" s="19">
        <f t="shared" si="17"/>
        <v>-5069.2299999999959</v>
      </c>
      <c r="H42" s="19">
        <f t="shared" si="18"/>
        <v>93.338500393508696</v>
      </c>
      <c r="J42" s="13"/>
      <c r="K42" s="14"/>
      <c r="L42" s="14"/>
      <c r="M42" s="14"/>
      <c r="N42" s="15"/>
      <c r="O42" s="15"/>
    </row>
    <row r="43" spans="1:15" x14ac:dyDescent="0.2">
      <c r="A43" s="5" t="s">
        <v>86</v>
      </c>
      <c r="B43" s="7" t="s">
        <v>31</v>
      </c>
      <c r="C43" s="17">
        <v>4196.0600000000004</v>
      </c>
      <c r="D43" s="17">
        <v>2021.96</v>
      </c>
      <c r="E43" s="18">
        <f t="shared" si="5"/>
        <v>48.187108859263212</v>
      </c>
      <c r="F43" s="17">
        <v>2138.9899999999998</v>
      </c>
      <c r="G43" s="19">
        <f t="shared" si="17"/>
        <v>-117.02999999999975</v>
      </c>
      <c r="H43" s="19">
        <f t="shared" si="18"/>
        <v>94.528726174502935</v>
      </c>
      <c r="J43" s="13"/>
      <c r="K43" s="14"/>
      <c r="L43" s="14"/>
      <c r="M43" s="14"/>
      <c r="N43" s="15"/>
      <c r="O43" s="15"/>
    </row>
    <row r="44" spans="1:15" x14ac:dyDescent="0.2">
      <c r="A44" s="5" t="s">
        <v>87</v>
      </c>
      <c r="B44" s="7" t="s">
        <v>32</v>
      </c>
      <c r="C44" s="17">
        <v>205610.85</v>
      </c>
      <c r="D44" s="17">
        <v>128079.66</v>
      </c>
      <c r="E44" s="18">
        <f t="shared" si="5"/>
        <v>62.292267163916691</v>
      </c>
      <c r="F44" s="17">
        <v>204127.12</v>
      </c>
      <c r="G44" s="19">
        <f t="shared" si="17"/>
        <v>-76047.459999999992</v>
      </c>
      <c r="H44" s="19">
        <f t="shared" si="18"/>
        <v>62.745048281678592</v>
      </c>
      <c r="J44" s="13"/>
      <c r="K44" s="14"/>
      <c r="L44" s="14"/>
      <c r="M44" s="14"/>
      <c r="N44" s="15"/>
      <c r="O44" s="15"/>
    </row>
    <row r="45" spans="1:15" x14ac:dyDescent="0.2">
      <c r="A45" s="25" t="s">
        <v>88</v>
      </c>
      <c r="B45" s="26" t="s">
        <v>33</v>
      </c>
      <c r="C45" s="22">
        <f>SUM(C46:C48)</f>
        <v>94013.189999999988</v>
      </c>
      <c r="D45" s="22">
        <f>SUM(D46:D48)</f>
        <v>50722.52</v>
      </c>
      <c r="E45" s="23">
        <f>D45/C45*100</f>
        <v>53.952557082681693</v>
      </c>
      <c r="F45" s="22">
        <f>SUM(F46:F48)</f>
        <v>43682.289999999994</v>
      </c>
      <c r="G45" s="22">
        <f>D45-F45</f>
        <v>7040.2300000000032</v>
      </c>
      <c r="H45" s="24">
        <f>D45/F45*100</f>
        <v>116.11689771758762</v>
      </c>
      <c r="J45" s="13"/>
      <c r="K45" s="14"/>
      <c r="L45" s="14"/>
      <c r="M45" s="14"/>
      <c r="N45" s="15"/>
      <c r="O45" s="15"/>
    </row>
    <row r="46" spans="1:15" x14ac:dyDescent="0.2">
      <c r="A46" s="5" t="s">
        <v>89</v>
      </c>
      <c r="B46" s="7" t="s">
        <v>34</v>
      </c>
      <c r="C46" s="17">
        <v>87794.18</v>
      </c>
      <c r="D46" s="17">
        <v>48081.09</v>
      </c>
      <c r="E46" s="18">
        <f t="shared" si="5"/>
        <v>54.765691757699656</v>
      </c>
      <c r="F46" s="17">
        <v>41139.699999999997</v>
      </c>
      <c r="G46" s="19">
        <f t="shared" ref="G46" si="19">D46-F46</f>
        <v>6941.3899999999994</v>
      </c>
      <c r="H46" s="19">
        <f t="shared" ref="H46" si="20">D46/F46*100</f>
        <v>116.87272877536783</v>
      </c>
      <c r="J46" s="13"/>
      <c r="K46" s="14"/>
      <c r="L46" s="14"/>
      <c r="M46" s="14"/>
      <c r="N46" s="15"/>
      <c r="O46" s="15"/>
    </row>
    <row r="47" spans="1:15" hidden="1" x14ac:dyDescent="0.2">
      <c r="A47" s="5" t="s">
        <v>90</v>
      </c>
      <c r="B47" s="7" t="s">
        <v>35</v>
      </c>
      <c r="C47" s="17"/>
      <c r="D47" s="17"/>
      <c r="E47" s="18" t="e">
        <f t="shared" si="5"/>
        <v>#DIV/0!</v>
      </c>
      <c r="F47" s="17"/>
      <c r="G47" s="19">
        <f t="shared" ref="G47:G48" si="21">D47-F47</f>
        <v>0</v>
      </c>
      <c r="H47" s="19" t="e">
        <f t="shared" ref="H47:H48" si="22">D47/F47*100</f>
        <v>#DIV/0!</v>
      </c>
      <c r="J47" s="13"/>
      <c r="K47" s="14"/>
      <c r="L47" s="14"/>
      <c r="M47" s="14"/>
      <c r="N47" s="15"/>
      <c r="O47" s="15"/>
    </row>
    <row r="48" spans="1:15" ht="31.5" x14ac:dyDescent="0.2">
      <c r="A48" s="5" t="s">
        <v>91</v>
      </c>
      <c r="B48" s="7" t="s">
        <v>36</v>
      </c>
      <c r="C48" s="17">
        <v>6219.01</v>
      </c>
      <c r="D48" s="17">
        <v>2641.43</v>
      </c>
      <c r="E48" s="18">
        <f t="shared" si="5"/>
        <v>42.473480505739658</v>
      </c>
      <c r="F48" s="17">
        <v>2542.59</v>
      </c>
      <c r="G48" s="19">
        <f t="shared" si="21"/>
        <v>98.839999999999691</v>
      </c>
      <c r="H48" s="19">
        <f t="shared" si="22"/>
        <v>103.88737468486858</v>
      </c>
      <c r="J48" s="13"/>
      <c r="K48" s="14"/>
      <c r="L48" s="14"/>
      <c r="M48" s="14"/>
      <c r="N48" s="15"/>
      <c r="O48" s="15"/>
    </row>
    <row r="49" spans="1:15" x14ac:dyDescent="0.2">
      <c r="A49" s="25" t="s">
        <v>92</v>
      </c>
      <c r="B49" s="26" t="s">
        <v>37</v>
      </c>
      <c r="C49" s="22">
        <f>SUM(C50:C54)</f>
        <v>681841.72</v>
      </c>
      <c r="D49" s="22">
        <f>SUM(D50:D54)</f>
        <v>334231.65000000002</v>
      </c>
      <c r="E49" s="23">
        <f>D49/C49*100</f>
        <v>49.018949735137952</v>
      </c>
      <c r="F49" s="22">
        <f>SUM(F50:F54)</f>
        <v>447078.79000000004</v>
      </c>
      <c r="G49" s="22">
        <f>D49-F49</f>
        <v>-112847.14000000001</v>
      </c>
      <c r="H49" s="24">
        <f>D49/F49*100</f>
        <v>74.759003888330284</v>
      </c>
      <c r="J49" s="13"/>
      <c r="K49" s="14"/>
      <c r="L49" s="14"/>
      <c r="M49" s="14"/>
      <c r="N49" s="15"/>
      <c r="O49" s="15"/>
    </row>
    <row r="50" spans="1:15" hidden="1" x14ac:dyDescent="0.2">
      <c r="A50" s="5" t="s">
        <v>93</v>
      </c>
      <c r="B50" s="7" t="s">
        <v>38</v>
      </c>
      <c r="C50" s="17"/>
      <c r="D50" s="17"/>
      <c r="E50" s="18" t="e">
        <f t="shared" si="5"/>
        <v>#DIV/0!</v>
      </c>
      <c r="F50" s="17"/>
      <c r="G50" s="19">
        <f t="shared" ref="G50" si="23">D50-F50</f>
        <v>0</v>
      </c>
      <c r="H50" s="19" t="e">
        <f t="shared" ref="H50" si="24">D50/F50*100</f>
        <v>#DIV/0!</v>
      </c>
      <c r="J50" s="13"/>
      <c r="K50" s="14"/>
      <c r="L50" s="14"/>
      <c r="M50" s="14"/>
      <c r="N50" s="15"/>
      <c r="O50" s="15"/>
    </row>
    <row r="51" spans="1:15" hidden="1" x14ac:dyDescent="0.2">
      <c r="A51" s="5" t="s">
        <v>94</v>
      </c>
      <c r="B51" s="7" t="s">
        <v>39</v>
      </c>
      <c r="C51" s="17"/>
      <c r="D51" s="17"/>
      <c r="E51" s="18" t="e">
        <f t="shared" si="5"/>
        <v>#DIV/0!</v>
      </c>
      <c r="F51" s="17"/>
      <c r="G51" s="19">
        <f t="shared" ref="G51:G54" si="25">D51-F51</f>
        <v>0</v>
      </c>
      <c r="H51" s="19" t="e">
        <f t="shared" ref="H51:H53" si="26">D51/F51*100</f>
        <v>#DIV/0!</v>
      </c>
      <c r="J51" s="13"/>
      <c r="K51" s="14"/>
      <c r="L51" s="14"/>
      <c r="M51" s="14"/>
      <c r="N51" s="15"/>
      <c r="O51" s="15"/>
    </row>
    <row r="52" spans="1:15" x14ac:dyDescent="0.2">
      <c r="A52" s="5" t="s">
        <v>95</v>
      </c>
      <c r="B52" s="7" t="s">
        <v>40</v>
      </c>
      <c r="C52" s="17">
        <f>424331.73+7.79</f>
        <v>424339.51999999996</v>
      </c>
      <c r="D52" s="17">
        <v>247177.97</v>
      </c>
      <c r="E52" s="18">
        <f t="shared" si="5"/>
        <v>58.250047037805963</v>
      </c>
      <c r="F52" s="17">
        <f>320.76+256009.39</f>
        <v>256330.15000000002</v>
      </c>
      <c r="G52" s="19">
        <f t="shared" si="25"/>
        <v>-9152.1800000000221</v>
      </c>
      <c r="H52" s="19">
        <f t="shared" si="26"/>
        <v>96.429534332968629</v>
      </c>
      <c r="J52" s="13"/>
      <c r="K52" s="14"/>
      <c r="L52" s="14"/>
      <c r="M52" s="14"/>
      <c r="N52" s="15"/>
      <c r="O52" s="15"/>
    </row>
    <row r="53" spans="1:15" x14ac:dyDescent="0.2">
      <c r="A53" s="5" t="s">
        <v>96</v>
      </c>
      <c r="B53" s="7" t="s">
        <v>41</v>
      </c>
      <c r="C53" s="17">
        <f>22641+102759.09+89598.98</f>
        <v>214999.07</v>
      </c>
      <c r="D53" s="17">
        <f>9998.39+41159.91+17338.89</f>
        <v>68497.19</v>
      </c>
      <c r="E53" s="18">
        <f t="shared" si="5"/>
        <v>31.859295949512713</v>
      </c>
      <c r="F53" s="17">
        <f>11344.89+155451.86+6616.42</f>
        <v>173413.17</v>
      </c>
      <c r="G53" s="19">
        <f t="shared" si="25"/>
        <v>-104915.98000000001</v>
      </c>
      <c r="H53" s="19">
        <f t="shared" si="26"/>
        <v>39.499416336141017</v>
      </c>
      <c r="J53" s="13"/>
      <c r="K53" s="14"/>
      <c r="L53" s="14"/>
      <c r="M53" s="14"/>
      <c r="N53" s="15"/>
      <c r="O53" s="15"/>
    </row>
    <row r="54" spans="1:15" x14ac:dyDescent="0.2">
      <c r="A54" s="5" t="s">
        <v>97</v>
      </c>
      <c r="B54" s="7" t="s">
        <v>42</v>
      </c>
      <c r="C54" s="17">
        <v>42503.13</v>
      </c>
      <c r="D54" s="17">
        <v>18556.490000000002</v>
      </c>
      <c r="E54" s="18">
        <f t="shared" si="5"/>
        <v>43.659114046424349</v>
      </c>
      <c r="F54" s="17">
        <v>17335.47</v>
      </c>
      <c r="G54" s="19">
        <f t="shared" si="25"/>
        <v>1221.0200000000004</v>
      </c>
      <c r="H54" s="19">
        <f>D54/F54*100</f>
        <v>107.04347790974229</v>
      </c>
      <c r="J54" s="13"/>
      <c r="K54" s="14"/>
      <c r="L54" s="14"/>
      <c r="M54" s="14"/>
      <c r="N54" s="15"/>
      <c r="O54" s="15"/>
    </row>
    <row r="55" spans="1:15" x14ac:dyDescent="0.2">
      <c r="A55" s="25" t="s">
        <v>98</v>
      </c>
      <c r="B55" s="26" t="s">
        <v>43</v>
      </c>
      <c r="C55" s="22">
        <f>SUM(C56:C59)</f>
        <v>67607.62</v>
      </c>
      <c r="D55" s="22">
        <f>SUM(D56:D59)</f>
        <v>32896.379999999997</v>
      </c>
      <c r="E55" s="23">
        <f>D55/C55*100</f>
        <v>48.657799224406951</v>
      </c>
      <c r="F55" s="22">
        <f>SUM(F56:F59)</f>
        <v>30808.34</v>
      </c>
      <c r="G55" s="22">
        <f>D55-F55</f>
        <v>2088.0399999999972</v>
      </c>
      <c r="H55" s="24">
        <f>D55/F55*100</f>
        <v>106.77751543900125</v>
      </c>
      <c r="J55" s="13"/>
      <c r="K55" s="14"/>
      <c r="L55" s="14"/>
      <c r="M55" s="14"/>
      <c r="N55" s="15"/>
      <c r="O55" s="15"/>
    </row>
    <row r="56" spans="1:15" hidden="1" x14ac:dyDescent="0.2">
      <c r="A56" s="5" t="s">
        <v>99</v>
      </c>
      <c r="B56" s="7" t="s">
        <v>44</v>
      </c>
      <c r="C56" s="17"/>
      <c r="D56" s="17"/>
      <c r="E56" s="18" t="e">
        <f t="shared" si="5"/>
        <v>#DIV/0!</v>
      </c>
      <c r="F56" s="17"/>
      <c r="G56" s="19">
        <f t="shared" ref="G56" si="27">D56-F56</f>
        <v>0</v>
      </c>
      <c r="H56" s="19" t="e">
        <f>D56/F56*100</f>
        <v>#DIV/0!</v>
      </c>
      <c r="J56" s="13"/>
      <c r="K56" s="14"/>
      <c r="L56" s="14"/>
      <c r="M56" s="14"/>
      <c r="N56" s="15"/>
      <c r="O56" s="15"/>
    </row>
    <row r="57" spans="1:15" x14ac:dyDescent="0.2">
      <c r="A57" s="5" t="s">
        <v>100</v>
      </c>
      <c r="B57" s="7" t="s">
        <v>45</v>
      </c>
      <c r="C57" s="17">
        <v>2629.43</v>
      </c>
      <c r="D57" s="17">
        <v>711.78</v>
      </c>
      <c r="E57" s="18">
        <f t="shared" si="5"/>
        <v>27.069745153892672</v>
      </c>
      <c r="F57" s="17">
        <v>1121.5899999999999</v>
      </c>
      <c r="G57" s="19">
        <f t="shared" ref="G57:G59" si="28">D57-F57</f>
        <v>-409.80999999999995</v>
      </c>
      <c r="H57" s="19">
        <f t="shared" ref="H57:H58" si="29">D57/F57*100</f>
        <v>63.461692775434877</v>
      </c>
      <c r="J57" s="13"/>
      <c r="K57" s="14"/>
      <c r="L57" s="14"/>
      <c r="M57" s="14"/>
      <c r="N57" s="15"/>
      <c r="O57" s="15"/>
    </row>
    <row r="58" spans="1:15" x14ac:dyDescent="0.2">
      <c r="A58" s="5" t="s">
        <v>101</v>
      </c>
      <c r="B58" s="7" t="s">
        <v>46</v>
      </c>
      <c r="C58" s="17">
        <f>670.4+56488.32</f>
        <v>57158.720000000001</v>
      </c>
      <c r="D58" s="17">
        <f>335.2+28420.87</f>
        <v>28756.07</v>
      </c>
      <c r="E58" s="18">
        <f t="shared" si="5"/>
        <v>50.309156678106163</v>
      </c>
      <c r="F58" s="17">
        <v>26461.14</v>
      </c>
      <c r="G58" s="19">
        <f t="shared" si="28"/>
        <v>2294.9300000000003</v>
      </c>
      <c r="H58" s="19">
        <f t="shared" si="29"/>
        <v>108.67283117809738</v>
      </c>
      <c r="J58" s="13"/>
      <c r="K58" s="14"/>
      <c r="L58" s="14"/>
      <c r="M58" s="14"/>
      <c r="N58" s="15"/>
      <c r="O58" s="15"/>
    </row>
    <row r="59" spans="1:15" ht="31.5" x14ac:dyDescent="0.2">
      <c r="A59" s="5" t="s">
        <v>102</v>
      </c>
      <c r="B59" s="7" t="s">
        <v>47</v>
      </c>
      <c r="C59" s="17">
        <v>7819.47</v>
      </c>
      <c r="D59" s="17">
        <v>3428.53</v>
      </c>
      <c r="E59" s="18">
        <f t="shared" si="5"/>
        <v>43.846066293495596</v>
      </c>
      <c r="F59" s="17">
        <v>3225.61</v>
      </c>
      <c r="G59" s="19">
        <f t="shared" si="28"/>
        <v>202.92000000000007</v>
      </c>
      <c r="H59" s="19">
        <f>D59/F59*100</f>
        <v>106.29090311599975</v>
      </c>
      <c r="J59" s="13"/>
      <c r="K59" s="14"/>
      <c r="L59" s="14"/>
      <c r="M59" s="14"/>
      <c r="N59" s="15"/>
      <c r="O59" s="15"/>
    </row>
    <row r="60" spans="1:15" ht="31.5" x14ac:dyDescent="0.2">
      <c r="A60" s="27" t="s">
        <v>104</v>
      </c>
      <c r="B60" s="26" t="s">
        <v>48</v>
      </c>
      <c r="C60" s="22">
        <f>C61</f>
        <v>34402.83</v>
      </c>
      <c r="D60" s="22">
        <f>D61</f>
        <v>399.46</v>
      </c>
      <c r="E60" s="23">
        <f>D60/C60*100</f>
        <v>1.1611254074156108</v>
      </c>
      <c r="F60" s="22">
        <f>F61</f>
        <v>2611.0300000000002</v>
      </c>
      <c r="G60" s="22">
        <f>D60-F60</f>
        <v>-2211.5700000000002</v>
      </c>
      <c r="H60" s="24">
        <f>D60/F60*100</f>
        <v>15.298943328877874</v>
      </c>
      <c r="J60" s="13"/>
      <c r="K60" s="14"/>
      <c r="L60" s="14"/>
      <c r="M60" s="14"/>
      <c r="N60" s="15"/>
      <c r="O60" s="15"/>
    </row>
    <row r="61" spans="1:15" ht="31.5" x14ac:dyDescent="0.2">
      <c r="A61" s="6" t="s">
        <v>103</v>
      </c>
      <c r="B61" s="7" t="s">
        <v>49</v>
      </c>
      <c r="C61" s="17">
        <v>34402.83</v>
      </c>
      <c r="D61" s="17">
        <v>399.46</v>
      </c>
      <c r="E61" s="18">
        <f t="shared" si="5"/>
        <v>1.1611254074156108</v>
      </c>
      <c r="F61" s="17">
        <v>2611.0300000000002</v>
      </c>
      <c r="G61" s="19">
        <f t="shared" ref="G61" si="30">D61-F61</f>
        <v>-2211.5700000000002</v>
      </c>
      <c r="H61" s="19">
        <f t="shared" ref="H61" si="31">D61/F61*100</f>
        <v>15.298943328877874</v>
      </c>
      <c r="J61" s="13"/>
      <c r="K61" s="14"/>
      <c r="L61" s="14"/>
      <c r="M61" s="14"/>
      <c r="N61" s="15"/>
      <c r="O61" s="15"/>
    </row>
    <row r="62" spans="1:15" x14ac:dyDescent="0.25">
      <c r="A62" s="28"/>
      <c r="B62" s="29" t="s">
        <v>50</v>
      </c>
      <c r="C62" s="24">
        <f>C6+C16+C20+C31+C36+C39+C45+C49+C55+C60</f>
        <v>4737346.47</v>
      </c>
      <c r="D62" s="24">
        <f t="shared" ref="D62:G62" si="32">D6+D16+D20+D31+D36+D39+D45+D49+D55+D60</f>
        <v>2102265.86</v>
      </c>
      <c r="E62" s="24">
        <f>D62/C62*100</f>
        <v>44.376443085025194</v>
      </c>
      <c r="F62" s="24">
        <f t="shared" si="32"/>
        <v>2407384.3499999996</v>
      </c>
      <c r="G62" s="24">
        <f t="shared" si="32"/>
        <v>-305118.48999999987</v>
      </c>
      <c r="H62" s="24">
        <f>D62/F62*100</f>
        <v>87.325725948164461</v>
      </c>
    </row>
    <row r="63" spans="1:15" x14ac:dyDescent="0.25">
      <c r="B63" s="8"/>
      <c r="C63" s="9"/>
    </row>
    <row r="64" spans="1:15" x14ac:dyDescent="0.25">
      <c r="B64" s="8"/>
      <c r="C64" s="16"/>
      <c r="D64" s="16"/>
    </row>
    <row r="65" spans="7:7" x14ac:dyDescent="0.25">
      <c r="G65" s="10"/>
    </row>
  </sheetData>
  <autoFilter ref="A5:I62"/>
  <mergeCells count="7">
    <mergeCell ref="A1:H2"/>
    <mergeCell ref="F4:F5"/>
    <mergeCell ref="G4:H4"/>
    <mergeCell ref="B4:B5"/>
    <mergeCell ref="C4:D4"/>
    <mergeCell ref="E4:E5"/>
    <mergeCell ref="A4:A5"/>
  </mergeCells>
  <pageMargins left="0.70866141732283472" right="0.70866141732283472" top="0.74803149606299213" bottom="0.74803149606299213" header="0.31496062992125984" footer="0.31496062992125984"/>
  <pageSetup paperSize="9" scale="56" fitToHeight="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тыс. рублей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Тихоненко Елена Шамельевна</dc:creator>
  <cp:lastModifiedBy>Пользователь Windows</cp:lastModifiedBy>
  <cp:lastPrinted>2023-04-06T12:30:26Z</cp:lastPrinted>
  <dcterms:created xsi:type="dcterms:W3CDTF">2018-07-19T10:58:06Z</dcterms:created>
  <dcterms:modified xsi:type="dcterms:W3CDTF">2024-07-25T05:38:19Z</dcterms:modified>
</cp:coreProperties>
</file>